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90" yWindow="135" windowWidth="9360" windowHeight="4500" activeTab="1"/>
  </bookViews>
  <sheets>
    <sheet name="Start" sheetId="1" r:id="rId1"/>
    <sheet name="no std devs" sheetId="2" r:id="rId2"/>
    <sheet name="have std devs" sheetId="3" r:id="rId3"/>
  </sheets>
  <definedNames/>
  <calcPr fullCalcOnLoad="1"/>
</workbook>
</file>

<file path=xl/sharedStrings.xml><?xml version="1.0" encoding="utf-8"?>
<sst xmlns="http://schemas.openxmlformats.org/spreadsheetml/2006/main" count="88" uniqueCount="46">
  <si>
    <t>Computing concentration indices and standard errors from grouped data</t>
  </si>
  <si>
    <t xml:space="preserve">  Formulae from N Kakwani, A Wagstaff &amp; E van Doorslaer "Socioeconomic inequalities in health:</t>
  </si>
  <si>
    <t>ENTER DATA BELOW</t>
  </si>
  <si>
    <t># persons</t>
  </si>
  <si>
    <t>quintile</t>
  </si>
  <si>
    <t>Quintile</t>
  </si>
  <si>
    <t>per quintile</t>
  </si>
  <si>
    <t>means</t>
  </si>
  <si>
    <t>CI</t>
  </si>
  <si>
    <t>se(CI)</t>
  </si>
  <si>
    <t>t-test(CI)</t>
  </si>
  <si>
    <t>rel %</t>
  </si>
  <si>
    <t>cumul %</t>
  </si>
  <si>
    <t>R</t>
  </si>
  <si>
    <t>K1</t>
  </si>
  <si>
    <t>K3</t>
  </si>
  <si>
    <t>f_mu</t>
  </si>
  <si>
    <t>cum_f_mu</t>
  </si>
  <si>
    <t>q</t>
  </si>
  <si>
    <t>f_mu_R</t>
  </si>
  <si>
    <t>a</t>
  </si>
  <si>
    <t>std devs</t>
  </si>
  <si>
    <t>f x sig tsq etc.</t>
  </si>
  <si>
    <t>Wealth</t>
  </si>
  <si>
    <t>group</t>
  </si>
  <si>
    <t>Poorest</t>
  </si>
  <si>
    <t>2nd</t>
  </si>
  <si>
    <t>Middle</t>
  </si>
  <si>
    <t>4th</t>
  </si>
  <si>
    <t>Richest</t>
  </si>
  <si>
    <t>Total/average</t>
  </si>
  <si>
    <t>No. of</t>
  </si>
  <si>
    <t>births</t>
  </si>
  <si>
    <t>U5MR</t>
  </si>
  <si>
    <r>
      <t>f . a</t>
    </r>
    <r>
      <rPr>
        <vertAlign val="superscript"/>
        <sz val="10"/>
        <rFont val="Verdana"/>
        <family val="2"/>
      </rPr>
      <t>2</t>
    </r>
  </si>
  <si>
    <t>Results</t>
  </si>
  <si>
    <t>var(CI)</t>
  </si>
  <si>
    <t xml:space="preserve">Enter data on group sizes, group means, and grouped std deviations in area below.  </t>
  </si>
  <si>
    <t xml:space="preserve">No other data need be entered.  Other cells are locked.  </t>
  </si>
  <si>
    <t xml:space="preserve">  measurement, computation and statistical inference", Journal of Econometrics 77 (1997) 87-103</t>
  </si>
  <si>
    <t xml:space="preserve">Example in sheet is for under-five mortality.  Application to other settings is immediate.  </t>
  </si>
  <si>
    <t>Do you have standard deviations for the group means?</t>
  </si>
  <si>
    <t>Use sheet 'no std devs'</t>
  </si>
  <si>
    <t>Use sheet 'have std devs'</t>
  </si>
  <si>
    <t>NO:</t>
  </si>
  <si>
    <t>YES: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</si>
</sst>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0.00000"/>
    <numFmt numFmtId="174" formatCode="0.0000"/>
    <numFmt numFmtId="175" formatCode="0.000"/>
    <numFmt numFmtId="176" formatCode="0.0"/>
    <numFmt numFmtId="177" formatCode=";;;"/>
    <numFmt numFmtId="178" formatCode="_(* #,##0.0_);_(* \(#,##0.0\);_(* &quot;-&quot;??_);_(@_)"/>
    <numFmt numFmtId="179" formatCode="_(* #,##0.000_);_(* \(#,##0.000\);_(* &quot;-&quot;??_);_(@_)"/>
    <numFmt numFmtId="180" formatCode="_(* #,##0.0000_);_(* \(#,##0.0000\);_(* &quot;-&quot;??_);_(@_)"/>
    <numFmt numFmtId="181" formatCode="_(* #,##0.000_);_(* \(#,##0.000\);_(* &quot;-&quot;???_);_(@_)"/>
    <numFmt numFmtId="182" formatCode="#,##0.0000"/>
    <numFmt numFmtId="183" formatCode="_(* #,##0.0_);_(* \(#,##0.0\);_(* &quot;-&quot;?_);_(@_)"/>
    <numFmt numFmtId="184" formatCode="0.0000000"/>
    <numFmt numFmtId="185" formatCode="0.000000"/>
    <numFmt numFmtId="186" formatCode="_(* #,##0.0000_);_(* \(#,##0.0000\);_(* &quot;-&quot;????_);_(@_)"/>
    <numFmt numFmtId="187" formatCode="0.0000E+00;\往"/>
    <numFmt numFmtId="188" formatCode="0.0000E+00;\"/>
    <numFmt numFmtId="189" formatCode="0.000E+00;\"/>
    <numFmt numFmtId="190" formatCode="0.00E+00;\"/>
    <numFmt numFmtId="191" formatCode="0.0E+00;\"/>
    <numFmt numFmtId="192" formatCode="0E+00;\"/>
    <numFmt numFmtId="193" formatCode="0.00000000000000000"/>
    <numFmt numFmtId="194" formatCode="_(* #,##0_);_(* \(#,##0\);_(* &quot;-&quot;??_);_(@_)"/>
    <numFmt numFmtId="195" formatCode="0.0E+00"/>
    <numFmt numFmtId="196" formatCode="0.0000E+00"/>
    <numFmt numFmtId="197" formatCode="0.000E+00"/>
  </numFmts>
  <fonts count="45">
    <font>
      <sz val="10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sz val="8"/>
      <name val="Verdana"/>
      <family val="2"/>
    </font>
    <font>
      <i/>
      <sz val="10"/>
      <name val="Verdana"/>
      <family val="2"/>
    </font>
    <font>
      <sz val="10"/>
      <color indexed="9"/>
      <name val="Verdana"/>
      <family val="2"/>
    </font>
    <font>
      <vertAlign val="superscript"/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top" wrapText="1"/>
    </xf>
    <xf numFmtId="0" fontId="2" fillId="0" borderId="0" xfId="0" applyFont="1" applyAlignment="1">
      <alignment vertical="top" wrapText="1"/>
    </xf>
    <xf numFmtId="0" fontId="1" fillId="33" borderId="10" xfId="0" applyFont="1" applyFill="1" applyBorder="1" applyAlignment="1">
      <alignment horizontal="centerContinuous"/>
    </xf>
    <xf numFmtId="0" fontId="1" fillId="33" borderId="11" xfId="0" applyFont="1" applyFill="1" applyBorder="1" applyAlignment="1">
      <alignment horizontal="centerContinuous"/>
    </xf>
    <xf numFmtId="0" fontId="1" fillId="33" borderId="12" xfId="0" applyFont="1" applyFill="1" applyBorder="1" applyAlignment="1">
      <alignment horizontal="centerContinuous"/>
    </xf>
    <xf numFmtId="0" fontId="1" fillId="34" borderId="10" xfId="0" applyFont="1" applyFill="1" applyBorder="1" applyAlignment="1">
      <alignment horizontal="centerContinuous"/>
    </xf>
    <xf numFmtId="0" fontId="2" fillId="34" borderId="12" xfId="0" applyFont="1" applyFill="1" applyBorder="1" applyAlignment="1">
      <alignment horizontal="centerContinuous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5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3" borderId="18" xfId="0" applyFont="1" applyFill="1" applyBorder="1" applyAlignment="1">
      <alignment horizont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6" borderId="0" xfId="0" applyFont="1" applyFill="1" applyBorder="1" applyAlignment="1" applyProtection="1">
      <alignment/>
      <protection locked="0"/>
    </xf>
    <xf numFmtId="174" fontId="2" fillId="36" borderId="0" xfId="0" applyNumberFormat="1" applyFont="1" applyFill="1" applyBorder="1" applyAlignment="1" applyProtection="1">
      <alignment/>
      <protection locked="0"/>
    </xf>
    <xf numFmtId="174" fontId="2" fillId="36" borderId="15" xfId="0" applyNumberFormat="1" applyFont="1" applyFill="1" applyBorder="1" applyAlignment="1" applyProtection="1">
      <alignment/>
      <protection locked="0"/>
    </xf>
    <xf numFmtId="174" fontId="2" fillId="36" borderId="17" xfId="0" applyNumberFormat="1" applyFont="1" applyFill="1" applyBorder="1" applyAlignment="1" applyProtection="1">
      <alignment/>
      <protection locked="0"/>
    </xf>
    <xf numFmtId="174" fontId="2" fillId="34" borderId="17" xfId="0" applyNumberFormat="1" applyFont="1" applyFill="1" applyBorder="1" applyAlignment="1">
      <alignment horizontal="right"/>
    </xf>
    <xf numFmtId="0" fontId="2" fillId="33" borderId="23" xfId="0" applyFont="1" applyFill="1" applyBorder="1" applyAlignment="1">
      <alignment horizontal="center"/>
    </xf>
    <xf numFmtId="0" fontId="2" fillId="36" borderId="24" xfId="0" applyFont="1" applyFill="1" applyBorder="1" applyAlignment="1" applyProtection="1">
      <alignment/>
      <protection locked="0"/>
    </xf>
    <xf numFmtId="174" fontId="2" fillId="36" borderId="24" xfId="0" applyNumberFormat="1" applyFont="1" applyFill="1" applyBorder="1" applyAlignment="1" applyProtection="1">
      <alignment/>
      <protection locked="0"/>
    </xf>
    <xf numFmtId="174" fontId="2" fillId="36" borderId="25" xfId="0" applyNumberFormat="1" applyFont="1" applyFill="1" applyBorder="1" applyAlignment="1" applyProtection="1">
      <alignment/>
      <protection locked="0"/>
    </xf>
    <xf numFmtId="0" fontId="4" fillId="34" borderId="26" xfId="0" applyFont="1" applyFill="1" applyBorder="1" applyAlignment="1">
      <alignment horizontal="left"/>
    </xf>
    <xf numFmtId="174" fontId="2" fillId="34" borderId="25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172" fontId="2" fillId="0" borderId="0" xfId="52" applyNumberFormat="1" applyFont="1" applyAlignment="1">
      <alignment/>
    </xf>
    <xf numFmtId="174" fontId="2" fillId="0" borderId="0" xfId="0" applyNumberFormat="1" applyFont="1" applyFill="1" applyAlignment="1">
      <alignment/>
    </xf>
    <xf numFmtId="178" fontId="2" fillId="0" borderId="27" xfId="63" applyNumberFormat="1" applyFont="1" applyBorder="1" applyAlignment="1">
      <alignment/>
    </xf>
    <xf numFmtId="174" fontId="2" fillId="0" borderId="27" xfId="0" applyNumberFormat="1" applyFont="1" applyFill="1" applyBorder="1" applyAlignment="1">
      <alignment/>
    </xf>
    <xf numFmtId="174" fontId="2" fillId="0" borderId="27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76" fontId="2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19" xfId="0" applyFont="1" applyBorder="1" applyAlignment="1">
      <alignment/>
    </xf>
    <xf numFmtId="194" fontId="2" fillId="0" borderId="0" xfId="63" applyNumberFormat="1" applyFont="1" applyFill="1" applyAlignment="1">
      <alignment/>
    </xf>
    <xf numFmtId="194" fontId="2" fillId="0" borderId="27" xfId="63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Continuous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74" fontId="2" fillId="0" borderId="0" xfId="0" applyNumberFormat="1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74" fontId="1" fillId="0" borderId="0" xfId="0" applyNumberFormat="1" applyFont="1" applyFill="1" applyAlignment="1">
      <alignment/>
    </xf>
    <xf numFmtId="11" fontId="2" fillId="0" borderId="0" xfId="0" applyNumberFormat="1" applyFont="1" applyFill="1" applyAlignment="1">
      <alignment/>
    </xf>
    <xf numFmtId="174" fontId="2" fillId="34" borderId="15" xfId="0" applyNumberFormat="1" applyFont="1" applyFill="1" applyBorder="1" applyAlignment="1">
      <alignment horizontal="right"/>
    </xf>
    <xf numFmtId="174" fontId="2" fillId="34" borderId="17" xfId="0" applyNumberFormat="1" applyFont="1" applyFill="1" applyBorder="1" applyAlignment="1">
      <alignment/>
    </xf>
    <xf numFmtId="11" fontId="2" fillId="0" borderId="19" xfId="0" applyNumberFormat="1" applyFont="1" applyFill="1" applyBorder="1" applyAlignment="1">
      <alignment/>
    </xf>
    <xf numFmtId="11" fontId="2" fillId="34" borderId="17" xfId="0" applyNumberFormat="1" applyFont="1" applyFill="1" applyBorder="1" applyAlignment="1">
      <alignment/>
    </xf>
    <xf numFmtId="0" fontId="2" fillId="34" borderId="28" xfId="0" applyFont="1" applyFill="1" applyBorder="1" applyAlignment="1">
      <alignment horizontal="center"/>
    </xf>
    <xf numFmtId="0" fontId="0" fillId="34" borderId="29" xfId="0" applyFill="1" applyBorder="1" applyAlignment="1">
      <alignment/>
    </xf>
    <xf numFmtId="0" fontId="0" fillId="34" borderId="3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3" xfId="0" applyFill="1" applyBorder="1" applyAlignment="1">
      <alignment/>
    </xf>
    <xf numFmtId="0" fontId="0" fillId="34" borderId="34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2" fillId="34" borderId="37" xfId="0" applyFont="1" applyFill="1" applyBorder="1" applyAlignment="1">
      <alignment horizontal="center"/>
    </xf>
    <xf numFmtId="0" fontId="2" fillId="34" borderId="26" xfId="0" applyFont="1" applyFill="1" applyBorder="1" applyAlignment="1">
      <alignment horizont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al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5"/>
  <sheetViews>
    <sheetView zoomScalePageLayoutView="0" workbookViewId="0" topLeftCell="A1">
      <selection activeCell="C47" sqref="C47"/>
    </sheetView>
  </sheetViews>
  <sheetFormatPr defaultColWidth="9.140625" defaultRowHeight="12.75"/>
  <sheetData>
    <row r="3" spans="1:9" ht="12.75">
      <c r="A3" s="1" t="s">
        <v>0</v>
      </c>
      <c r="B3" s="2"/>
      <c r="C3" s="2"/>
      <c r="D3" s="2"/>
      <c r="E3" s="2"/>
      <c r="F3" s="2"/>
      <c r="G3" s="2"/>
      <c r="H3" s="2"/>
      <c r="I3" s="2"/>
    </row>
    <row r="4" spans="1:9" ht="12.75">
      <c r="A4" s="1"/>
      <c r="B4" s="2"/>
      <c r="C4" s="2"/>
      <c r="D4" s="2"/>
      <c r="E4" s="2"/>
      <c r="F4" s="2"/>
      <c r="G4" s="2"/>
      <c r="H4" s="2"/>
      <c r="I4" s="2"/>
    </row>
    <row r="5" spans="1:9" ht="12.75">
      <c r="A5" s="3" t="s">
        <v>1</v>
      </c>
      <c r="B5" s="4"/>
      <c r="C5" s="4"/>
      <c r="D5" s="4"/>
      <c r="E5" s="4"/>
      <c r="F5" s="4"/>
      <c r="G5" s="4"/>
      <c r="H5" s="4"/>
      <c r="I5" s="4"/>
    </row>
    <row r="6" spans="1:9" ht="12.75">
      <c r="A6" s="3" t="s">
        <v>39</v>
      </c>
      <c r="B6" s="4"/>
      <c r="C6" s="4"/>
      <c r="D6" s="4"/>
      <c r="E6" s="4"/>
      <c r="F6" s="4"/>
      <c r="G6" s="4"/>
      <c r="H6" s="4"/>
      <c r="I6" s="4"/>
    </row>
    <row r="7" spans="1:9" ht="12.75">
      <c r="A7" s="3"/>
      <c r="B7" s="4"/>
      <c r="C7" s="4"/>
      <c r="D7" s="4"/>
      <c r="E7" s="4"/>
      <c r="F7" s="4"/>
      <c r="G7" s="4"/>
      <c r="H7" s="4"/>
      <c r="I7" s="4"/>
    </row>
    <row r="8" spans="1:9" ht="12.75">
      <c r="A8" s="3" t="s">
        <v>40</v>
      </c>
      <c r="B8" s="4"/>
      <c r="C8" s="4"/>
      <c r="D8" s="4"/>
      <c r="E8" s="4"/>
      <c r="F8" s="4"/>
      <c r="G8" s="4"/>
      <c r="H8" s="4"/>
      <c r="I8" s="4"/>
    </row>
    <row r="9" ht="13.5" thickBot="1"/>
    <row r="10" spans="2:6" ht="12.75">
      <c r="B10" s="76"/>
      <c r="C10" s="77"/>
      <c r="D10" s="77"/>
      <c r="E10" s="77"/>
      <c r="F10" s="78"/>
    </row>
    <row r="11" spans="2:6" ht="12.75">
      <c r="B11" s="79" t="s">
        <v>41</v>
      </c>
      <c r="C11" s="80"/>
      <c r="D11" s="80"/>
      <c r="E11" s="80"/>
      <c r="F11" s="81"/>
    </row>
    <row r="12" spans="2:6" ht="12.75">
      <c r="B12" s="79"/>
      <c r="C12" s="80"/>
      <c r="D12" s="80"/>
      <c r="E12" s="80"/>
      <c r="F12" s="81"/>
    </row>
    <row r="13" spans="2:6" ht="12.75">
      <c r="B13" s="79"/>
      <c r="C13" s="80" t="s">
        <v>44</v>
      </c>
      <c r="D13" s="80" t="s">
        <v>42</v>
      </c>
      <c r="E13" s="80"/>
      <c r="F13" s="81"/>
    </row>
    <row r="14" spans="2:6" ht="12.75">
      <c r="B14" s="79"/>
      <c r="C14" s="80" t="s">
        <v>45</v>
      </c>
      <c r="D14" s="80" t="s">
        <v>43</v>
      </c>
      <c r="E14" s="80"/>
      <c r="F14" s="81"/>
    </row>
    <row r="15" spans="2:6" ht="13.5" thickBot="1">
      <c r="B15" s="82"/>
      <c r="C15" s="83"/>
      <c r="D15" s="83"/>
      <c r="E15" s="83"/>
      <c r="F15" s="84"/>
    </row>
  </sheetData>
  <sheetProtection/>
  <printOptions/>
  <pageMargins left="0.787401575" right="0.787401575" top="0.984251969" bottom="0.984251969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27"/>
  <sheetViews>
    <sheetView tabSelected="1" zoomScalePageLayoutView="0" workbookViewId="0" topLeftCell="A1">
      <selection activeCell="H32" sqref="H32"/>
    </sheetView>
  </sheetViews>
  <sheetFormatPr defaultColWidth="8.8515625" defaultRowHeight="12.75"/>
  <cols>
    <col min="1" max="1" width="14.28125" style="2" customWidth="1"/>
    <col min="2" max="3" width="11.7109375" style="2" customWidth="1"/>
    <col min="4" max="4" width="9.8515625" style="2" customWidth="1"/>
    <col min="5" max="5" width="9.421875" style="2" customWidth="1"/>
    <col min="6" max="6" width="11.8515625" style="2" customWidth="1"/>
    <col min="7" max="7" width="11.7109375" style="2" customWidth="1"/>
    <col min="8" max="8" width="12.28125" style="2" customWidth="1"/>
    <col min="9" max="10" width="8.8515625" style="2" customWidth="1"/>
    <col min="11" max="11" width="10.8515625" style="2" customWidth="1"/>
    <col min="12" max="13" width="9.7109375" style="2" customWidth="1"/>
    <col min="14" max="16384" width="8.8515625" style="2" customWidth="1"/>
  </cols>
  <sheetData>
    <row r="1" ht="12.75" customHeight="1"/>
    <row r="2" ht="12.75" customHeight="1"/>
    <row r="3" spans="2:8" ht="12.75" customHeight="1">
      <c r="B3" s="3" t="s">
        <v>37</v>
      </c>
      <c r="C3" s="4"/>
      <c r="D3" s="4"/>
      <c r="E3" s="4"/>
      <c r="F3" s="4"/>
      <c r="G3" s="4"/>
      <c r="H3" s="4"/>
    </row>
    <row r="4" spans="2:8" ht="12.75" customHeight="1">
      <c r="B4" s="3" t="s">
        <v>38</v>
      </c>
      <c r="C4" s="4"/>
      <c r="D4" s="4"/>
      <c r="E4" s="4"/>
      <c r="F4" s="4"/>
      <c r="G4" s="4"/>
      <c r="H4" s="4"/>
    </row>
    <row r="5" spans="1:5" ht="12.75" customHeight="1" thickBot="1">
      <c r="A5" s="5"/>
      <c r="B5" s="6"/>
      <c r="C5" s="6"/>
      <c r="D5" s="6"/>
      <c r="E5" s="6"/>
    </row>
    <row r="6" spans="1:9" ht="12.75" customHeight="1" thickTop="1">
      <c r="A6" s="1"/>
      <c r="B6" s="7" t="s">
        <v>2</v>
      </c>
      <c r="C6" s="8"/>
      <c r="D6" s="9"/>
      <c r="E6" s="9"/>
      <c r="F6" s="10" t="s">
        <v>35</v>
      </c>
      <c r="G6" s="11"/>
      <c r="I6" s="63"/>
    </row>
    <row r="7" spans="1:9" ht="12.75" customHeight="1" thickBot="1">
      <c r="A7" s="1"/>
      <c r="B7" s="12"/>
      <c r="C7" s="13" t="s">
        <v>3</v>
      </c>
      <c r="D7" s="13" t="s">
        <v>4</v>
      </c>
      <c r="E7" s="14" t="s">
        <v>4</v>
      </c>
      <c r="F7" s="15"/>
      <c r="G7" s="16"/>
      <c r="H7" s="64"/>
      <c r="I7" s="63"/>
    </row>
    <row r="8" spans="1:9" ht="12.75" customHeight="1" thickTop="1">
      <c r="A8" s="1"/>
      <c r="B8" s="17" t="s">
        <v>5</v>
      </c>
      <c r="C8" s="18" t="s">
        <v>6</v>
      </c>
      <c r="D8" s="18" t="s">
        <v>7</v>
      </c>
      <c r="E8" s="19" t="s">
        <v>21</v>
      </c>
      <c r="F8" s="20"/>
      <c r="G8" s="21"/>
      <c r="H8" s="65"/>
      <c r="I8" s="65"/>
    </row>
    <row r="9" spans="1:9" ht="12.75" customHeight="1">
      <c r="A9" s="1"/>
      <c r="B9" s="22">
        <v>1</v>
      </c>
      <c r="C9" s="23">
        <v>1002</v>
      </c>
      <c r="D9" s="24">
        <v>0.0595</v>
      </c>
      <c r="E9" s="25"/>
      <c r="F9" s="85" t="s">
        <v>8</v>
      </c>
      <c r="G9" s="27">
        <f>J24</f>
        <v>-0.18412890697463014</v>
      </c>
      <c r="H9" s="64"/>
      <c r="I9" s="66"/>
    </row>
    <row r="10" spans="1:9" ht="12.75" customHeight="1">
      <c r="A10" s="1"/>
      <c r="B10" s="22">
        <v>2</v>
      </c>
      <c r="C10" s="23">
        <v>949</v>
      </c>
      <c r="D10" s="24">
        <v>0.03410000000000002</v>
      </c>
      <c r="E10" s="26"/>
      <c r="F10" s="75" t="s">
        <v>36</v>
      </c>
      <c r="G10" s="72">
        <f>(1/COUNT(H19:H23))*(M24-(1+J24)^2)</f>
        <v>0.0028881054577555524</v>
      </c>
      <c r="H10" s="64"/>
      <c r="I10" s="67"/>
    </row>
    <row r="11" spans="1:9" ht="12.75" customHeight="1">
      <c r="A11" s="1"/>
      <c r="B11" s="22">
        <v>3</v>
      </c>
      <c r="C11" s="23">
        <v>1002</v>
      </c>
      <c r="D11" s="24">
        <v>0.04049999999999998</v>
      </c>
      <c r="E11" s="26"/>
      <c r="F11" s="75" t="s">
        <v>9</v>
      </c>
      <c r="G11" s="72">
        <f>SQRT(G10)</f>
        <v>0.053741096544037435</v>
      </c>
      <c r="H11" s="64"/>
      <c r="I11" s="67"/>
    </row>
    <row r="12" spans="1:9" ht="12.75" customHeight="1">
      <c r="A12" s="1"/>
      <c r="B12" s="22">
        <v>4</v>
      </c>
      <c r="C12" s="23">
        <v>1082</v>
      </c>
      <c r="D12" s="24">
        <v>0.028100000000000014</v>
      </c>
      <c r="E12" s="26"/>
      <c r="F12" s="75" t="s">
        <v>10</v>
      </c>
      <c r="G12" s="62">
        <f>G9/G11</f>
        <v>-3.4262216221015906</v>
      </c>
      <c r="H12" s="64"/>
      <c r="I12" s="67"/>
    </row>
    <row r="13" spans="1:9" ht="12.75" customHeight="1" thickBot="1">
      <c r="A13" s="1"/>
      <c r="B13" s="28">
        <v>5</v>
      </c>
      <c r="C13" s="29">
        <v>1280</v>
      </c>
      <c r="D13" s="30">
        <v>0.02180000000000004</v>
      </c>
      <c r="E13" s="31"/>
      <c r="F13" s="86"/>
      <c r="G13" s="33"/>
      <c r="H13" s="64"/>
      <c r="I13" s="67"/>
    </row>
    <row r="14" spans="1:9" ht="12.75" customHeight="1" thickTop="1">
      <c r="A14" s="1"/>
      <c r="B14" s="34"/>
      <c r="C14" s="35"/>
      <c r="H14" s="64"/>
      <c r="I14" s="64"/>
    </row>
    <row r="15" spans="1:13" ht="12.75" customHeight="1">
      <c r="A15" s="57"/>
      <c r="B15" s="41"/>
      <c r="C15" s="37"/>
      <c r="D15" s="37"/>
      <c r="E15" s="37"/>
      <c r="F15" s="36"/>
      <c r="L15" s="35"/>
      <c r="M15" s="56"/>
    </row>
    <row r="16" spans="1:13" ht="12.75" customHeight="1">
      <c r="A16" s="34" t="s">
        <v>23</v>
      </c>
      <c r="B16" s="34" t="s">
        <v>31</v>
      </c>
      <c r="C16" s="38" t="s">
        <v>11</v>
      </c>
      <c r="D16" s="38" t="s">
        <v>12</v>
      </c>
      <c r="E16" s="38" t="s">
        <v>13</v>
      </c>
      <c r="F16" s="60" t="s">
        <v>33</v>
      </c>
      <c r="G16" s="39"/>
      <c r="H16" s="39"/>
      <c r="I16" s="39"/>
      <c r="J16" s="38" t="s">
        <v>14</v>
      </c>
      <c r="K16" s="38" t="s">
        <v>15</v>
      </c>
      <c r="L16" s="68"/>
      <c r="M16" s="68"/>
    </row>
    <row r="17" spans="1:13" ht="12.75" customHeight="1">
      <c r="A17" s="40" t="s">
        <v>24</v>
      </c>
      <c r="B17" s="40" t="s">
        <v>32</v>
      </c>
      <c r="C17" s="40" t="s">
        <v>32</v>
      </c>
      <c r="D17" s="40" t="s">
        <v>32</v>
      </c>
      <c r="E17" s="40"/>
      <c r="F17" s="61"/>
      <c r="G17" s="40" t="s">
        <v>16</v>
      </c>
      <c r="H17" s="40" t="s">
        <v>17</v>
      </c>
      <c r="I17" s="40" t="s">
        <v>18</v>
      </c>
      <c r="J17" s="40" t="s">
        <v>8</v>
      </c>
      <c r="K17" s="40" t="s">
        <v>19</v>
      </c>
      <c r="L17" s="61" t="s">
        <v>20</v>
      </c>
      <c r="M17" s="61" t="s">
        <v>34</v>
      </c>
    </row>
    <row r="18" spans="2:13" ht="12.75" customHeight="1">
      <c r="B18" s="42"/>
      <c r="C18" s="34"/>
      <c r="D18" s="43">
        <v>0</v>
      </c>
      <c r="E18" s="34"/>
      <c r="F18" s="42"/>
      <c r="I18" s="44">
        <v>0</v>
      </c>
      <c r="K18" s="45"/>
      <c r="L18" s="47"/>
      <c r="M18" s="47"/>
    </row>
    <row r="19" spans="1:13" ht="12.75" customHeight="1">
      <c r="A19" s="2" t="s">
        <v>25</v>
      </c>
      <c r="B19" s="58">
        <f>C9</f>
        <v>1002</v>
      </c>
      <c r="C19" s="46">
        <f>B19/$B$24</f>
        <v>0.1885230479774224</v>
      </c>
      <c r="D19" s="46">
        <f>C19+D18</f>
        <v>0.1885230479774224</v>
      </c>
      <c r="E19" s="46">
        <f>D18+0.5*C19</f>
        <v>0.0942615239887112</v>
      </c>
      <c r="F19" s="47">
        <f>D9</f>
        <v>0.0595</v>
      </c>
      <c r="G19" s="45">
        <f>F19*$C19</f>
        <v>0.011217121354656632</v>
      </c>
      <c r="H19" s="45">
        <f>G19</f>
        <v>0.011217121354656632</v>
      </c>
      <c r="I19" s="45">
        <f>H19/$F$25</f>
        <v>0.31235543102576574</v>
      </c>
      <c r="J19" s="45">
        <f>$D19*I20-$D20*I19</f>
        <v>-0.023808320269108882</v>
      </c>
      <c r="K19" s="45">
        <f>G19*E19</f>
        <v>0.0010573429536562507</v>
      </c>
      <c r="L19" s="47">
        <f>(F19/$F$25)*(2*$E19-1-$J$24)+2-I18-I19</f>
        <v>0.6482195696627926</v>
      </c>
      <c r="M19" s="47">
        <f>$C19*L19^2</f>
        <v>0.07921523757569213</v>
      </c>
    </row>
    <row r="20" spans="1:13" ht="12.75" customHeight="1">
      <c r="A20" s="2" t="s">
        <v>26</v>
      </c>
      <c r="B20" s="58">
        <f>C10</f>
        <v>949</v>
      </c>
      <c r="C20" s="46">
        <f>B20/$B$24</f>
        <v>0.17855126999059268</v>
      </c>
      <c r="D20" s="46">
        <f>C20+D19</f>
        <v>0.36707431796801504</v>
      </c>
      <c r="E20" s="46">
        <f>D19+0.5*C20</f>
        <v>0.2777986829727187</v>
      </c>
      <c r="F20" s="47">
        <f>D10</f>
        <v>0.03410000000000002</v>
      </c>
      <c r="G20" s="45">
        <f>F20*$C20</f>
        <v>0.006088598306679214</v>
      </c>
      <c r="H20" s="45">
        <f>G20+H19</f>
        <v>0.017305719661335844</v>
      </c>
      <c r="I20" s="45">
        <f>H20/$F$25</f>
        <v>0.4819004228552447</v>
      </c>
      <c r="J20" s="45">
        <f>$D20*I21-$D21*I20</f>
        <v>-0.012805049131569768</v>
      </c>
      <c r="K20" s="45">
        <f>G20*E20</f>
        <v>0.0016914045907454108</v>
      </c>
      <c r="L20" s="47">
        <f>(F20/$F$25)*(2*$E20-1-$J$24)+2-I19-I20</f>
        <v>0.9585988475528121</v>
      </c>
      <c r="M20" s="47">
        <f>$C20*L20^2</f>
        <v>0.1640728600663351</v>
      </c>
    </row>
    <row r="21" spans="1:13" ht="12.75" customHeight="1">
      <c r="A21" s="2" t="s">
        <v>27</v>
      </c>
      <c r="B21" s="58">
        <f>C11</f>
        <v>1002</v>
      </c>
      <c r="C21" s="46">
        <f>B21/$B$24</f>
        <v>0.1885230479774224</v>
      </c>
      <c r="D21" s="46">
        <f>C21+D20</f>
        <v>0.5555973659454374</v>
      </c>
      <c r="E21" s="46">
        <f>D20+0.5*C21</f>
        <v>0.4613358419567262</v>
      </c>
      <c r="F21" s="47">
        <f>D11</f>
        <v>0.04049999999999998</v>
      </c>
      <c r="G21" s="45">
        <f>F21*$C21</f>
        <v>0.007635183443085603</v>
      </c>
      <c r="H21" s="45">
        <f>G21+H20</f>
        <v>0.024940903104421448</v>
      </c>
      <c r="I21" s="45">
        <f>H21/$F$25</f>
        <v>0.6945121027971524</v>
      </c>
      <c r="J21" s="45">
        <f>$D21*I22-$D22*I21</f>
        <v>-0.052882125631156296</v>
      </c>
      <c r="K21" s="45">
        <f>G21*E21</f>
        <v>0.0035223837822099527</v>
      </c>
      <c r="L21" s="47">
        <f>(F21/$F$25)*(2*$E21-1-$J$24)+2-I20-I21</f>
        <v>0.9440345671095611</v>
      </c>
      <c r="M21" s="47">
        <f>$C21*L21^2</f>
        <v>0.16801197863133244</v>
      </c>
    </row>
    <row r="22" spans="1:13" ht="12.75" customHeight="1">
      <c r="A22" s="2" t="s">
        <v>28</v>
      </c>
      <c r="B22" s="58">
        <f>C12</f>
        <v>1082</v>
      </c>
      <c r="C22" s="46">
        <f>B22/$B$24</f>
        <v>0.20357478833490122</v>
      </c>
      <c r="D22" s="46">
        <f>C22+D21</f>
        <v>0.7591721542803387</v>
      </c>
      <c r="E22" s="46">
        <f>D21+0.5*C22</f>
        <v>0.657384760112888</v>
      </c>
      <c r="F22" s="47">
        <f>D12</f>
        <v>0.028100000000000014</v>
      </c>
      <c r="G22" s="45">
        <f>F22*$C22</f>
        <v>0.005720451552210727</v>
      </c>
      <c r="H22" s="45">
        <f>G22+H21</f>
        <v>0.030661354656632174</v>
      </c>
      <c r="I22" s="45">
        <f>H22/$F$25</f>
        <v>0.8538055662231339</v>
      </c>
      <c r="J22" s="45">
        <f>$D22*I23-$D23*I22</f>
        <v>-0.09463341194279518</v>
      </c>
      <c r="K22" s="45">
        <f>G22*E22</f>
        <v>0.003760537671387447</v>
      </c>
      <c r="L22" s="47">
        <f>(F22/$F$25)*(2*$E22-1-$J$24)+2-I21-I22</f>
        <v>0.8420610169483775</v>
      </c>
      <c r="M22" s="47">
        <f>$C22*L22^2</f>
        <v>0.14434811482178642</v>
      </c>
    </row>
    <row r="23" spans="1:13" ht="12.75" customHeight="1">
      <c r="A23" s="57" t="s">
        <v>29</v>
      </c>
      <c r="B23" s="58">
        <f>C13</f>
        <v>1280</v>
      </c>
      <c r="C23" s="46">
        <f>B23/$B$24</f>
        <v>0.24082784571966134</v>
      </c>
      <c r="D23" s="46">
        <f>C23+D22</f>
        <v>1</v>
      </c>
      <c r="E23" s="46">
        <f>D22+0.5*C23</f>
        <v>0.8795860771401693</v>
      </c>
      <c r="F23" s="47">
        <f>D13</f>
        <v>0.02180000000000004</v>
      </c>
      <c r="G23" s="45">
        <f>F23*$C23</f>
        <v>0.005250047036688628</v>
      </c>
      <c r="H23" s="45">
        <f>G23+H22</f>
        <v>0.0359114016933208</v>
      </c>
      <c r="I23" s="45">
        <f>H23/$F$25</f>
        <v>1</v>
      </c>
      <c r="J23" s="45">
        <f>$D23*I24-$D24*I23</f>
        <v>0</v>
      </c>
      <c r="K23" s="45">
        <f>G23*E23</f>
        <v>0.004617868277802321</v>
      </c>
      <c r="L23" s="47">
        <f>(F23/$F$25)*(2*$E23-1-$J$24)+2-I22-I23</f>
        <v>0.718824912279828</v>
      </c>
      <c r="M23" s="47">
        <f>$C23*L23^2</f>
        <v>0.12443797662804348</v>
      </c>
    </row>
    <row r="24" spans="1:13" ht="12.75" customHeight="1">
      <c r="A24" s="2" t="s">
        <v>30</v>
      </c>
      <c r="B24" s="59">
        <f>SUM(B19:B23)</f>
        <v>5315</v>
      </c>
      <c r="C24" s="48"/>
      <c r="D24" s="48"/>
      <c r="E24" s="48"/>
      <c r="F24" s="49">
        <f>SUMPRODUCT(F19:F23,C19:C23)</f>
        <v>0.0359114016933208</v>
      </c>
      <c r="G24" s="50">
        <f>SUM(G19:G23)</f>
        <v>0.0359114016933208</v>
      </c>
      <c r="H24" s="51"/>
      <c r="I24" s="50"/>
      <c r="J24" s="50">
        <f>SUM(J19:J23)</f>
        <v>-0.18412890697463014</v>
      </c>
      <c r="K24" s="50">
        <f>(2/F25)*SUM(K19:K23)-1</f>
        <v>-0.18412890697463002</v>
      </c>
      <c r="L24" s="49"/>
      <c r="M24" s="49">
        <f>SUM(M19:M23)</f>
        <v>0.6800861677231895</v>
      </c>
    </row>
    <row r="25" spans="2:13" ht="12.75" customHeight="1">
      <c r="B25" s="35"/>
      <c r="C25" s="35"/>
      <c r="D25" s="35"/>
      <c r="F25" s="45">
        <f>F24</f>
        <v>0.0359114016933208</v>
      </c>
      <c r="J25" s="45"/>
      <c r="L25" s="45"/>
      <c r="M25" s="45"/>
    </row>
    <row r="26" spans="4:14" ht="12.75" customHeight="1">
      <c r="D26" s="52"/>
      <c r="E26" s="45"/>
      <c r="F26" s="53"/>
      <c r="K26" s="37"/>
      <c r="L26" s="54"/>
      <c r="N26" s="45"/>
    </row>
    <row r="27" ht="12.75" customHeight="1">
      <c r="E27" s="5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</sheetData>
  <sheetProtection sheet="1" objects="1" scenarios="1"/>
  <printOptions gridLines="1" headings="1"/>
  <pageMargins left="0.787401575" right="0.787401575" top="0.984251969" bottom="0.984251969" header="0.5" footer="0.5"/>
  <pageSetup fitToHeight="1" fitToWidth="1" horizontalDpi="600" verticalDpi="600" orientation="landscape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27"/>
  <sheetViews>
    <sheetView zoomScalePageLayoutView="0" workbookViewId="0" topLeftCell="A1">
      <selection activeCell="D20" sqref="D20"/>
    </sheetView>
  </sheetViews>
  <sheetFormatPr defaultColWidth="8.8515625" defaultRowHeight="12.75"/>
  <cols>
    <col min="1" max="1" width="14.28125" style="2" customWidth="1"/>
    <col min="2" max="3" width="11.7109375" style="2" customWidth="1"/>
    <col min="4" max="4" width="9.8515625" style="2" customWidth="1"/>
    <col min="5" max="5" width="9.421875" style="2" customWidth="1"/>
    <col min="6" max="6" width="11.8515625" style="2" customWidth="1"/>
    <col min="7" max="7" width="11.7109375" style="2" customWidth="1"/>
    <col min="8" max="8" width="12.28125" style="2" customWidth="1"/>
    <col min="9" max="10" width="8.8515625" style="2" customWidth="1"/>
    <col min="11" max="11" width="10.8515625" style="2" customWidth="1"/>
    <col min="12" max="13" width="9.7109375" style="2" customWidth="1"/>
    <col min="14" max="14" width="15.140625" style="2" customWidth="1"/>
    <col min="15" max="16384" width="8.8515625" style="2" customWidth="1"/>
  </cols>
  <sheetData>
    <row r="1" ht="12.75" customHeight="1"/>
    <row r="2" s="4" customFormat="1" ht="12.75" customHeight="1">
      <c r="A2" s="3"/>
    </row>
    <row r="3" s="4" customFormat="1" ht="12.75" customHeight="1">
      <c r="B3" s="3" t="s">
        <v>37</v>
      </c>
    </row>
    <row r="4" s="4" customFormat="1" ht="12.75" customHeight="1">
      <c r="B4" s="3" t="s">
        <v>38</v>
      </c>
    </row>
    <row r="5" s="4" customFormat="1" ht="12.75" customHeight="1" thickBot="1">
      <c r="A5" s="3"/>
    </row>
    <row r="6" spans="1:7" ht="12.75" customHeight="1" thickTop="1">
      <c r="A6" s="1"/>
      <c r="B6" s="7" t="s">
        <v>2</v>
      </c>
      <c r="C6" s="8"/>
      <c r="D6" s="9"/>
      <c r="E6" s="9"/>
      <c r="F6" s="10" t="s">
        <v>35</v>
      </c>
      <c r="G6" s="11"/>
    </row>
    <row r="7" spans="1:7" ht="12.75" customHeight="1" thickBot="1">
      <c r="A7" s="1"/>
      <c r="B7" s="12"/>
      <c r="C7" s="13" t="s">
        <v>3</v>
      </c>
      <c r="D7" s="13" t="s">
        <v>4</v>
      </c>
      <c r="E7" s="14" t="s">
        <v>4</v>
      </c>
      <c r="F7" s="15"/>
      <c r="G7" s="16"/>
    </row>
    <row r="8" spans="1:7" ht="12.75" customHeight="1" thickTop="1">
      <c r="A8" s="1"/>
      <c r="B8" s="17" t="s">
        <v>5</v>
      </c>
      <c r="C8" s="18" t="s">
        <v>6</v>
      </c>
      <c r="D8" s="18" t="s">
        <v>7</v>
      </c>
      <c r="E8" s="19" t="s">
        <v>21</v>
      </c>
      <c r="F8" s="20"/>
      <c r="G8" s="21"/>
    </row>
    <row r="9" spans="1:7" ht="12.75" customHeight="1">
      <c r="A9" s="1"/>
      <c r="B9" s="22">
        <v>1</v>
      </c>
      <c r="C9" s="23">
        <v>1002</v>
      </c>
      <c r="D9" s="24">
        <v>0.0595</v>
      </c>
      <c r="E9" s="25">
        <v>0.0079</v>
      </c>
      <c r="F9" s="75" t="s">
        <v>8</v>
      </c>
      <c r="G9" s="71">
        <f>J24</f>
        <v>-0.18412890697463014</v>
      </c>
    </row>
    <row r="10" spans="1:7" ht="12.75" customHeight="1">
      <c r="A10" s="1"/>
      <c r="B10" s="22">
        <v>2</v>
      </c>
      <c r="C10" s="23">
        <v>949</v>
      </c>
      <c r="D10" s="24">
        <v>0.03410000000000002</v>
      </c>
      <c r="E10" s="26">
        <v>0.006</v>
      </c>
      <c r="F10" s="75" t="s">
        <v>36</v>
      </c>
      <c r="G10" s="74">
        <f>M25+N25</f>
        <v>4.228426400167469E-06</v>
      </c>
    </row>
    <row r="11" spans="1:7" ht="12.75" customHeight="1">
      <c r="A11" s="1"/>
      <c r="B11" s="22">
        <v>3</v>
      </c>
      <c r="C11" s="23">
        <v>1002</v>
      </c>
      <c r="D11" s="24">
        <v>0.04049999999999998</v>
      </c>
      <c r="E11" s="26">
        <v>0.0065</v>
      </c>
      <c r="F11" s="75" t="s">
        <v>9</v>
      </c>
      <c r="G11" s="72">
        <f>SQRT(G10)</f>
        <v>0.0020563137893248365</v>
      </c>
    </row>
    <row r="12" spans="1:16" ht="12.75" customHeight="1">
      <c r="A12" s="1"/>
      <c r="B12" s="22">
        <v>4</v>
      </c>
      <c r="C12" s="23">
        <v>1082</v>
      </c>
      <c r="D12" s="24">
        <v>0.028100000000000014</v>
      </c>
      <c r="E12" s="26">
        <v>0.0053</v>
      </c>
      <c r="F12" s="75" t="s">
        <v>10</v>
      </c>
      <c r="G12" s="62">
        <f>G9/G11</f>
        <v>-89.54319517309001</v>
      </c>
      <c r="L12" s="35"/>
      <c r="M12" s="35"/>
      <c r="N12" s="35"/>
      <c r="O12" s="35"/>
      <c r="P12" s="35"/>
    </row>
    <row r="13" spans="1:16" ht="12.75" customHeight="1" thickBot="1">
      <c r="A13" s="1"/>
      <c r="B13" s="28">
        <v>5</v>
      </c>
      <c r="C13" s="29">
        <v>1280</v>
      </c>
      <c r="D13" s="30">
        <v>0.02180000000000004</v>
      </c>
      <c r="E13" s="31">
        <v>0.0042</v>
      </c>
      <c r="F13" s="32"/>
      <c r="G13" s="33"/>
      <c r="L13" s="35"/>
      <c r="M13" s="35"/>
      <c r="N13" s="35"/>
      <c r="O13" s="35"/>
      <c r="P13" s="35"/>
    </row>
    <row r="14" spans="1:16" ht="12.75" customHeight="1" thickTop="1">
      <c r="A14" s="1"/>
      <c r="B14" s="34"/>
      <c r="C14" s="35"/>
      <c r="L14" s="35"/>
      <c r="M14" s="35"/>
      <c r="N14" s="35"/>
      <c r="O14" s="35"/>
      <c r="P14" s="35"/>
    </row>
    <row r="15" spans="1:16" ht="12.75" customHeight="1">
      <c r="A15" s="57"/>
      <c r="B15" s="41"/>
      <c r="C15" s="37"/>
      <c r="D15" s="37"/>
      <c r="E15" s="37"/>
      <c r="F15" s="36"/>
      <c r="L15" s="35"/>
      <c r="M15" s="56"/>
      <c r="N15" s="56"/>
      <c r="O15" s="35"/>
      <c r="P15" s="35"/>
    </row>
    <row r="16" spans="1:16" ht="12.75" customHeight="1">
      <c r="A16" s="34" t="s">
        <v>23</v>
      </c>
      <c r="B16" s="34" t="s">
        <v>31</v>
      </c>
      <c r="C16" s="38" t="s">
        <v>11</v>
      </c>
      <c r="D16" s="38" t="s">
        <v>12</v>
      </c>
      <c r="E16" s="38" t="s">
        <v>13</v>
      </c>
      <c r="F16" s="60" t="s">
        <v>33</v>
      </c>
      <c r="G16" s="39"/>
      <c r="H16" s="39"/>
      <c r="I16" s="39"/>
      <c r="J16" s="38"/>
      <c r="K16" s="38"/>
      <c r="L16" s="68"/>
      <c r="M16" s="68"/>
      <c r="N16" s="68"/>
      <c r="O16" s="35"/>
      <c r="P16" s="35"/>
    </row>
    <row r="17" spans="1:16" ht="12.75" customHeight="1">
      <c r="A17" s="40" t="s">
        <v>24</v>
      </c>
      <c r="B17" s="40" t="s">
        <v>32</v>
      </c>
      <c r="C17" s="40" t="s">
        <v>32</v>
      </c>
      <c r="D17" s="40" t="s">
        <v>32</v>
      </c>
      <c r="E17" s="40"/>
      <c r="F17" s="61"/>
      <c r="G17" s="40" t="s">
        <v>16</v>
      </c>
      <c r="H17" s="40" t="s">
        <v>17</v>
      </c>
      <c r="I17" s="40" t="s">
        <v>18</v>
      </c>
      <c r="J17" s="40" t="s">
        <v>8</v>
      </c>
      <c r="K17" s="40" t="s">
        <v>19</v>
      </c>
      <c r="L17" s="61" t="s">
        <v>20</v>
      </c>
      <c r="M17" s="61" t="s">
        <v>34</v>
      </c>
      <c r="N17" s="61" t="s">
        <v>22</v>
      </c>
      <c r="O17" s="35"/>
      <c r="P17" s="35"/>
    </row>
    <row r="18" spans="2:16" ht="12.75" customHeight="1">
      <c r="B18" s="42"/>
      <c r="C18" s="34"/>
      <c r="D18" s="43">
        <v>0</v>
      </c>
      <c r="E18" s="34"/>
      <c r="F18" s="42"/>
      <c r="I18" s="44">
        <v>0</v>
      </c>
      <c r="K18" s="45"/>
      <c r="L18" s="47"/>
      <c r="M18" s="47"/>
      <c r="N18" s="35"/>
      <c r="O18" s="35"/>
      <c r="P18" s="35"/>
    </row>
    <row r="19" spans="1:16" ht="12.75" customHeight="1">
      <c r="A19" s="2" t="s">
        <v>25</v>
      </c>
      <c r="B19" s="58">
        <f>C9</f>
        <v>1002</v>
      </c>
      <c r="C19" s="46">
        <f>B19/$B$24</f>
        <v>0.1885230479774224</v>
      </c>
      <c r="D19" s="46">
        <f>C19+D18</f>
        <v>0.1885230479774224</v>
      </c>
      <c r="E19" s="46">
        <f>D18+0.5*C19</f>
        <v>0.0942615239887112</v>
      </c>
      <c r="F19" s="47">
        <f>D9</f>
        <v>0.0595</v>
      </c>
      <c r="G19" s="45">
        <f>F19*$C19</f>
        <v>0.011217121354656632</v>
      </c>
      <c r="H19" s="45">
        <f>G19</f>
        <v>0.011217121354656632</v>
      </c>
      <c r="I19" s="45">
        <f>H19/$F$25</f>
        <v>0.31235543102576574</v>
      </c>
      <c r="J19" s="45">
        <f>$D19*I20-$D20*I19</f>
        <v>-0.023808320269108882</v>
      </c>
      <c r="K19" s="45">
        <f>G19*E19</f>
        <v>0.0010573429536562507</v>
      </c>
      <c r="L19" s="47">
        <f>(F19/$F$25)*(2*$E19-1-$K$24)+2-I18-I19</f>
        <v>0.6482195696627924</v>
      </c>
      <c r="M19" s="47">
        <f>$C19*L19^2</f>
        <v>0.07921523757569207</v>
      </c>
      <c r="N19" s="70">
        <f>C19*E9^2*(2*E19-1-$K$24)^2</f>
        <v>4.630583641529063E-06</v>
      </c>
      <c r="O19" s="35"/>
      <c r="P19" s="35"/>
    </row>
    <row r="20" spans="1:16" ht="12.75" customHeight="1">
      <c r="A20" s="2" t="s">
        <v>26</v>
      </c>
      <c r="B20" s="58">
        <f>C10</f>
        <v>949</v>
      </c>
      <c r="C20" s="46">
        <f>B20/$B$24</f>
        <v>0.17855126999059268</v>
      </c>
      <c r="D20" s="46">
        <f>C20+D19</f>
        <v>0.36707431796801504</v>
      </c>
      <c r="E20" s="46">
        <f>D19+0.5*C20</f>
        <v>0.2777986829727187</v>
      </c>
      <c r="F20" s="47">
        <f>D10</f>
        <v>0.03410000000000002</v>
      </c>
      <c r="G20" s="45">
        <f>F20*$C20</f>
        <v>0.006088598306679214</v>
      </c>
      <c r="H20" s="45">
        <f>G20+H19</f>
        <v>0.017305719661335844</v>
      </c>
      <c r="I20" s="45">
        <f>H20/$F$25</f>
        <v>0.4819004228552447</v>
      </c>
      <c r="J20" s="45">
        <f>$D20*I21-$D21*I20</f>
        <v>-0.012805049131569768</v>
      </c>
      <c r="K20" s="45">
        <f>G20*E20</f>
        <v>0.0016914045907454108</v>
      </c>
      <c r="L20" s="47">
        <f>(F20/$F$25)*(2*$E20-1-$K$24)+2-I19-I20</f>
        <v>0.9585988475528119</v>
      </c>
      <c r="M20" s="47">
        <f>$C20*L20^2</f>
        <v>0.164072860066335</v>
      </c>
      <c r="N20" s="70">
        <f>C20*E10^2*(2*E20-1-$K$24)^2</f>
        <v>4.3543777949351245E-07</v>
      </c>
      <c r="O20" s="35"/>
      <c r="P20" s="35"/>
    </row>
    <row r="21" spans="1:16" ht="12.75" customHeight="1">
      <c r="A21" s="2" t="s">
        <v>27</v>
      </c>
      <c r="B21" s="58">
        <f>C11</f>
        <v>1002</v>
      </c>
      <c r="C21" s="46">
        <f>B21/$B$24</f>
        <v>0.1885230479774224</v>
      </c>
      <c r="D21" s="46">
        <f>C21+D20</f>
        <v>0.5555973659454374</v>
      </c>
      <c r="E21" s="46">
        <f>D20+0.5*C21</f>
        <v>0.4613358419567262</v>
      </c>
      <c r="F21" s="47">
        <f>D11</f>
        <v>0.04049999999999998</v>
      </c>
      <c r="G21" s="45">
        <f>F21*$C21</f>
        <v>0.007635183443085603</v>
      </c>
      <c r="H21" s="45">
        <f>G21+H20</f>
        <v>0.024940903104421448</v>
      </c>
      <c r="I21" s="45">
        <f>H21/$F$25</f>
        <v>0.6945121027971524</v>
      </c>
      <c r="J21" s="45">
        <f>$D21*I22-$D22*I21</f>
        <v>-0.052882125631156296</v>
      </c>
      <c r="K21" s="45">
        <f>G21*E21</f>
        <v>0.0035223837822099527</v>
      </c>
      <c r="L21" s="47">
        <f>(F21/$F$25)*(2*$E21-1-$K$24)+2-I20-I21</f>
        <v>0.9440345671095607</v>
      </c>
      <c r="M21" s="47">
        <f>$C21*L21^2</f>
        <v>0.1680119786313323</v>
      </c>
      <c r="N21" s="70">
        <f>C21*E11^2*(2*E21-1-$K$24)^2</f>
        <v>9.085283358201828E-08</v>
      </c>
      <c r="O21" s="35"/>
      <c r="P21" s="35"/>
    </row>
    <row r="22" spans="1:16" ht="12.75" customHeight="1">
      <c r="A22" s="2" t="s">
        <v>28</v>
      </c>
      <c r="B22" s="58">
        <f>C12</f>
        <v>1082</v>
      </c>
      <c r="C22" s="46">
        <f>B22/$B$24</f>
        <v>0.20357478833490122</v>
      </c>
      <c r="D22" s="46">
        <f>C22+D21</f>
        <v>0.7591721542803387</v>
      </c>
      <c r="E22" s="46">
        <f>D21+0.5*C22</f>
        <v>0.657384760112888</v>
      </c>
      <c r="F22" s="47">
        <f>D12</f>
        <v>0.028100000000000014</v>
      </c>
      <c r="G22" s="45">
        <f>F22*$C22</f>
        <v>0.005720451552210727</v>
      </c>
      <c r="H22" s="45">
        <f>G22+H21</f>
        <v>0.030661354656632174</v>
      </c>
      <c r="I22" s="45">
        <f>H22/$F$25</f>
        <v>0.8538055662231339</v>
      </c>
      <c r="J22" s="45">
        <f>$D22*I23-$D23*I22</f>
        <v>-0.09463341194279518</v>
      </c>
      <c r="K22" s="45">
        <f>G22*E22</f>
        <v>0.003760537671387447</v>
      </c>
      <c r="L22" s="47">
        <f>(F22/$F$25)*(2*$E22-1-$K$24)+2-I21-I22</f>
        <v>0.8420610169483775</v>
      </c>
      <c r="M22" s="47">
        <f>$C22*L22^2</f>
        <v>0.14434811482178642</v>
      </c>
      <c r="N22" s="70">
        <f>C22*E12^2*(2*E22-1-$K$24)^2</f>
        <v>1.4233116388589262E-06</v>
      </c>
      <c r="O22" s="35"/>
      <c r="P22" s="35"/>
    </row>
    <row r="23" spans="1:16" ht="12.75" customHeight="1">
      <c r="A23" s="57" t="s">
        <v>29</v>
      </c>
      <c r="B23" s="58">
        <f>C13</f>
        <v>1280</v>
      </c>
      <c r="C23" s="46">
        <f>B23/$B$24</f>
        <v>0.24082784571966134</v>
      </c>
      <c r="D23" s="46">
        <f>C23+D22</f>
        <v>1</v>
      </c>
      <c r="E23" s="46">
        <f>D22+0.5*C23</f>
        <v>0.8795860771401693</v>
      </c>
      <c r="F23" s="47">
        <f>D13</f>
        <v>0.02180000000000004</v>
      </c>
      <c r="G23" s="45">
        <f>F23*$C23</f>
        <v>0.005250047036688628</v>
      </c>
      <c r="H23" s="45">
        <f>G23+H22</f>
        <v>0.0359114016933208</v>
      </c>
      <c r="I23" s="45">
        <f>H23/$F$25</f>
        <v>1</v>
      </c>
      <c r="J23" s="45">
        <f>$D23*I24-$D24*I23</f>
        <v>0</v>
      </c>
      <c r="K23" s="45">
        <f>G23*E23</f>
        <v>0.004617868277802321</v>
      </c>
      <c r="L23" s="47">
        <f>(F23/$F$25)*(2*$E23-1-$K$24)+2-I22-I23</f>
        <v>0.718824912279828</v>
      </c>
      <c r="M23" s="47">
        <f>$C23*L23^2</f>
        <v>0.12443797662804348</v>
      </c>
      <c r="N23" s="73">
        <f>C23*E13^2*(2*E23-1-$K$24)^2</f>
        <v>3.7801229673690167E-06</v>
      </c>
      <c r="O23" s="35"/>
      <c r="P23" s="35"/>
    </row>
    <row r="24" spans="1:16" ht="12.75" customHeight="1">
      <c r="A24" s="2" t="s">
        <v>30</v>
      </c>
      <c r="B24" s="59">
        <f>SUM(B19:B23)</f>
        <v>5315</v>
      </c>
      <c r="C24" s="48"/>
      <c r="D24" s="48"/>
      <c r="E24" s="48"/>
      <c r="F24" s="49">
        <f>SUMPRODUCT(F19:F23,C19:C23)</f>
        <v>0.0359114016933208</v>
      </c>
      <c r="G24" s="50">
        <f>SUM(G19:G23)</f>
        <v>0.0359114016933208</v>
      </c>
      <c r="H24" s="51"/>
      <c r="I24" s="50"/>
      <c r="J24" s="50">
        <f>SUM(J19:J23)</f>
        <v>-0.18412890697463014</v>
      </c>
      <c r="K24" s="50">
        <f>(2/F25)*SUM(K19:K23)-1</f>
        <v>-0.18412890697463002</v>
      </c>
      <c r="L24" s="49"/>
      <c r="M24" s="49">
        <f>SUM(M19:M23)</f>
        <v>0.6800861677231893</v>
      </c>
      <c r="N24" s="73">
        <f>SUM(N19:N23)</f>
        <v>1.0360308860832537E-05</v>
      </c>
      <c r="O24" s="35"/>
      <c r="P24" s="35"/>
    </row>
    <row r="25" spans="2:16" ht="12.75" customHeight="1">
      <c r="B25" s="35"/>
      <c r="C25" s="35"/>
      <c r="D25" s="35"/>
      <c r="F25" s="45">
        <f>F24</f>
        <v>0.0359114016933208</v>
      </c>
      <c r="J25" s="45"/>
      <c r="L25" s="47"/>
      <c r="M25" s="70">
        <f>(1/B24)*(M24-(1+J24)^2)</f>
        <v>2.7169383421970907E-06</v>
      </c>
      <c r="N25" s="70">
        <f>N24/(B24*F24^2)</f>
        <v>1.5114880579703777E-06</v>
      </c>
      <c r="O25" s="35"/>
      <c r="P25" s="35"/>
    </row>
    <row r="26" spans="4:16" ht="12.75" customHeight="1">
      <c r="D26" s="52"/>
      <c r="E26" s="45"/>
      <c r="F26" s="53"/>
      <c r="K26" s="37"/>
      <c r="L26" s="69"/>
      <c r="M26" s="35"/>
      <c r="N26" s="70"/>
      <c r="O26" s="47"/>
      <c r="P26" s="35"/>
    </row>
    <row r="27" ht="12.75" customHeight="1">
      <c r="E27" s="55"/>
    </row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sheetProtection sheet="1" objects="1" scenarios="1"/>
  <printOptions gridLines="1" headings="1"/>
  <pageMargins left="0.787401575" right="0.787401575" top="0.984251969" bottom="0.984251969" header="0.5" footer="0.5"/>
  <pageSetup fitToHeight="1" fitToWidth="1"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Equidade</dc:creator>
  <cp:keywords/>
  <dc:description/>
  <cp:lastModifiedBy>Equidade 2</cp:lastModifiedBy>
  <cp:lastPrinted>2002-04-10T16:54:38Z</cp:lastPrinted>
  <dcterms:created xsi:type="dcterms:W3CDTF">1999-06-14T17:12:45Z</dcterms:created>
  <dcterms:modified xsi:type="dcterms:W3CDTF">2013-06-10T22:02:20Z</dcterms:modified>
  <cp:category/>
  <cp:version/>
  <cp:contentType/>
  <cp:contentStatus/>
</cp:coreProperties>
</file>